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\Online Forms\County Information\Final Settlements\"/>
    </mc:Choice>
  </mc:AlternateContent>
  <xr:revisionPtr revIDLastSave="0" documentId="8_{62F2897A-DD98-474B-A99D-4E43E09A9669}" xr6:coauthVersionLast="41" xr6:coauthVersionMax="41" xr10:uidLastSave="{00000000-0000-0000-0000-000000000000}"/>
  <bookViews>
    <workbookView xWindow="-120" yWindow="-120" windowWidth="29040" windowHeight="15840" tabRatio="863" xr2:uid="{FEB4EA04-0F8B-41FB-8D98-E2AA3F8D1CFD}"/>
  </bookViews>
  <sheets>
    <sheet name="Gen Fund Sliding Scale Calc" sheetId="7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73" l="1"/>
  <c r="C25" i="73"/>
  <c r="C24" i="73"/>
  <c r="C23" i="73"/>
  <c r="C22" i="73"/>
  <c r="C21" i="73"/>
  <c r="C20" i="73"/>
  <c r="G20" i="73" s="1"/>
  <c r="C19" i="73"/>
  <c r="C18" i="73"/>
  <c r="G18" i="73" s="1"/>
  <c r="C17" i="73"/>
  <c r="C16" i="73"/>
  <c r="G16" i="73" s="1"/>
  <c r="C15" i="73"/>
  <c r="C14" i="73"/>
  <c r="G14" i="73" s="1"/>
  <c r="C13" i="73"/>
  <c r="C12" i="73"/>
  <c r="G12" i="73" s="1"/>
  <c r="C11" i="73"/>
  <c r="C10" i="73"/>
  <c r="G10" i="73" s="1"/>
  <c r="C9" i="73"/>
  <c r="C8" i="73"/>
  <c r="G8" i="73" s="1"/>
  <c r="C7" i="73"/>
  <c r="E7" i="73" s="1"/>
  <c r="C6" i="73"/>
  <c r="G6" i="73" s="1"/>
  <c r="C5" i="73"/>
  <c r="E5" i="73" s="1"/>
  <c r="C4" i="73"/>
  <c r="G4" i="73" s="1"/>
  <c r="C3" i="73"/>
  <c r="E3" i="73" s="1"/>
  <c r="C2" i="73"/>
  <c r="G2" i="73" s="1"/>
  <c r="D2" i="73" l="1"/>
  <c r="D3" i="73" s="1"/>
  <c r="D4" i="73" s="1"/>
  <c r="D5" i="73" s="1"/>
  <c r="D6" i="73" s="1"/>
  <c r="D7" i="73" s="1"/>
  <c r="D8" i="73" s="1"/>
  <c r="D9" i="73" s="1"/>
  <c r="D10" i="73" s="1"/>
  <c r="D11" i="73" s="1"/>
  <c r="D12" i="73" s="1"/>
  <c r="D13" i="73" s="1"/>
  <c r="D14" i="73" s="1"/>
  <c r="D15" i="73" s="1"/>
  <c r="D16" i="73" s="1"/>
  <c r="D17" i="73" s="1"/>
  <c r="D18" i="73" s="1"/>
  <c r="D19" i="73" s="1"/>
  <c r="D20" i="73" s="1"/>
  <c r="D21" i="73" s="1"/>
  <c r="D22" i="73" s="1"/>
  <c r="D23" i="73" s="1"/>
  <c r="D24" i="73" s="1"/>
  <c r="D25" i="73" s="1"/>
  <c r="F2" i="73"/>
  <c r="E6" i="73"/>
  <c r="F6" i="73"/>
  <c r="H21" i="73"/>
  <c r="F14" i="73"/>
  <c r="H13" i="73"/>
  <c r="E4" i="73"/>
  <c r="F10" i="73"/>
  <c r="F5" i="73"/>
  <c r="H9" i="73"/>
  <c r="F11" i="73"/>
  <c r="F13" i="73"/>
  <c r="H17" i="73"/>
  <c r="F3" i="73"/>
  <c r="H5" i="73"/>
  <c r="H4" i="73"/>
  <c r="F7" i="73"/>
  <c r="E8" i="73"/>
  <c r="H12" i="73"/>
  <c r="F15" i="73"/>
  <c r="H20" i="73"/>
  <c r="E2" i="73"/>
  <c r="H6" i="73"/>
  <c r="H7" i="73"/>
  <c r="F8" i="73"/>
  <c r="F9" i="73"/>
  <c r="H14" i="73"/>
  <c r="H15" i="73"/>
  <c r="H22" i="73"/>
  <c r="H23" i="73"/>
  <c r="H8" i="73"/>
  <c r="H24" i="73"/>
  <c r="H16" i="73"/>
  <c r="H2" i="73"/>
  <c r="H3" i="73"/>
  <c r="F4" i="73"/>
  <c r="H10" i="73"/>
  <c r="H11" i="73"/>
  <c r="F12" i="73"/>
  <c r="H18" i="73"/>
  <c r="H19" i="73"/>
  <c r="G3" i="73"/>
  <c r="G5" i="73"/>
  <c r="G7" i="73"/>
  <c r="G9" i="73"/>
  <c r="G11" i="73"/>
  <c r="G13" i="73"/>
  <c r="G15" i="73"/>
  <c r="G17" i="73"/>
  <c r="G19" i="73"/>
  <c r="D26" i="73" l="1"/>
  <c r="E9" i="73" l="1"/>
  <c r="E10" i="73" s="1"/>
  <c r="E11" i="73" s="1"/>
  <c r="E12" i="73" s="1"/>
  <c r="E13" i="73" s="1"/>
  <c r="E14" i="73" s="1"/>
  <c r="E15" i="73" s="1"/>
  <c r="E16" i="73" s="1"/>
  <c r="E17" i="73" s="1"/>
  <c r="E18" i="73" s="1"/>
  <c r="E19" i="73" s="1"/>
  <c r="E20" i="73" s="1"/>
  <c r="E21" i="73" s="1"/>
  <c r="E22" i="73" s="1"/>
  <c r="E23" i="73" s="1"/>
  <c r="E24" i="73" s="1"/>
  <c r="E25" i="73" s="1"/>
  <c r="E26" i="73" l="1"/>
  <c r="F16" i="73" l="1"/>
  <c r="F17" i="73" s="1"/>
  <c r="F18" i="73" s="1"/>
  <c r="F19" i="73" s="1"/>
  <c r="F20" i="73" s="1"/>
  <c r="F21" i="73" s="1"/>
  <c r="F22" i="73" s="1"/>
  <c r="F23" i="73" s="1"/>
  <c r="F24" i="73" s="1"/>
  <c r="F25" i="73" s="1"/>
  <c r="F26" i="73" l="1"/>
  <c r="G21" i="73" l="1"/>
  <c r="G22" i="73" s="1"/>
  <c r="G23" i="73" s="1"/>
  <c r="G24" i="73" s="1"/>
  <c r="G25" i="73" s="1"/>
  <c r="G26" i="73" l="1"/>
  <c r="H25" i="73" l="1"/>
  <c r="H26" i="73" s="1"/>
  <c r="I26" i="73" s="1"/>
</calcChain>
</file>

<file path=xl/sharedStrings.xml><?xml version="1.0" encoding="utf-8"?>
<sst xmlns="http://schemas.openxmlformats.org/spreadsheetml/2006/main" count="39" uniqueCount="39">
  <si>
    <t>Reporting Period</t>
  </si>
  <si>
    <t>Total</t>
  </si>
  <si>
    <t>October 1</t>
  </si>
  <si>
    <t>October 2</t>
  </si>
  <si>
    <t>November 1</t>
  </si>
  <si>
    <t>November 2</t>
  </si>
  <si>
    <t>December 1</t>
  </si>
  <si>
    <t>December 2</t>
  </si>
  <si>
    <t>January 1</t>
  </si>
  <si>
    <t>January 2</t>
  </si>
  <si>
    <t>February 1</t>
  </si>
  <si>
    <t>February 2</t>
  </si>
  <si>
    <t>March 1</t>
  </si>
  <si>
    <t>March 2</t>
  </si>
  <si>
    <t>April 1</t>
  </si>
  <si>
    <t>April 2</t>
  </si>
  <si>
    <t>May 1</t>
  </si>
  <si>
    <t>May 2</t>
  </si>
  <si>
    <t>June 1</t>
  </si>
  <si>
    <t>June 2</t>
  </si>
  <si>
    <t>July 1</t>
  </si>
  <si>
    <t>July 2</t>
  </si>
  <si>
    <t>August 1</t>
  </si>
  <si>
    <t>August 2</t>
  </si>
  <si>
    <t>September 1</t>
  </si>
  <si>
    <t>September 2</t>
  </si>
  <si>
    <t>Tier 1 (Zero)</t>
  </si>
  <si>
    <t>Tier 2</t>
  </si>
  <si>
    <t>Tier 3</t>
  </si>
  <si>
    <t>Tier 4</t>
  </si>
  <si>
    <t>Tier 5</t>
  </si>
  <si>
    <t>Tax Year</t>
  </si>
  <si>
    <t>0 - 5,000 Commission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</si>
  <si>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5,000 - 9,000 Commission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</si>
  <si>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9,000 - 12,000 Commission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</si>
  <si>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12,000 - 15,000 Commission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</si>
  <si>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15,000    Commission</t>
    </r>
  </si>
  <si>
    <t>Total Gen Fund Before Commission to Date</t>
  </si>
  <si>
    <r>
      <rPr>
        <b/>
        <sz val="14"/>
        <color theme="1"/>
        <rFont val="Calibri"/>
        <family val="2"/>
        <scheme val="minor"/>
      </rPr>
      <t xml:space="preserve">ENTER  </t>
    </r>
    <r>
      <rPr>
        <sz val="11"/>
        <color theme="1"/>
        <rFont val="Calibri"/>
        <family val="2"/>
        <scheme val="minor"/>
      </rPr>
      <t xml:space="preserve">                                        Gen Fund Before Commission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</si>
</sst>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0" fontId="0" fillId="0" borderId="0" xfId="0" applyNumberFormat="1"/>
    <xf numFmtId="49" fontId="0" fillId="0" borderId="0" xfId="0" applyNumberFormat="1"/>
    <xf numFmtId="40" fontId="0" fillId="0" borderId="1" xfId="0" applyNumberFormat="1" applyBorder="1"/>
    <xf numFmtId="40" fontId="0" fillId="0" borderId="0" xfId="0" applyNumberFormat="1" applyProtection="1"/>
    <xf numFmtId="49" fontId="0" fillId="0" borderId="0" xfId="0" applyNumberFormat="1" applyProtection="1"/>
    <xf numFmtId="40" fontId="0" fillId="0" borderId="0" xfId="0" applyNumberFormat="1" applyProtection="1">
      <protection locked="0"/>
    </xf>
    <xf numFmtId="49" fontId="0" fillId="2" borderId="0" xfId="0" applyNumberFormat="1" applyFill="1" applyProtection="1"/>
    <xf numFmtId="40" fontId="0" fillId="2" borderId="0" xfId="0" applyNumberFormat="1" applyFill="1" applyProtection="1">
      <protection locked="0"/>
    </xf>
    <xf numFmtId="40" fontId="0" fillId="2" borderId="0" xfId="0" applyNumberFormat="1" applyFill="1" applyProtection="1"/>
    <xf numFmtId="40" fontId="0" fillId="2" borderId="1" xfId="0" applyNumberFormat="1" applyFill="1" applyBorder="1" applyProtection="1"/>
    <xf numFmtId="40" fontId="0" fillId="3" borderId="0" xfId="0" applyNumberFormat="1" applyFill="1" applyAlignment="1" applyProtection="1">
      <alignment horizontal="center"/>
    </xf>
    <xf numFmtId="49" fontId="0" fillId="4" borderId="2" xfId="0" applyNumberFormat="1" applyFill="1" applyBorder="1" applyProtection="1"/>
    <xf numFmtId="40" fontId="0" fillId="4" borderId="3" xfId="0" applyNumberFormat="1" applyFill="1" applyBorder="1" applyProtection="1"/>
    <xf numFmtId="49" fontId="0" fillId="4" borderId="4" xfId="0" applyNumberFormat="1" applyFill="1" applyBorder="1" applyProtection="1"/>
    <xf numFmtId="40" fontId="0" fillId="4" borderId="5" xfId="0" applyNumberFormat="1" applyFill="1" applyBorder="1" applyProtection="1"/>
    <xf numFmtId="49" fontId="0" fillId="4" borderId="6" xfId="0" applyNumberFormat="1" applyFill="1" applyBorder="1" applyProtection="1"/>
    <xf numFmtId="40" fontId="0" fillId="4" borderId="7" xfId="0" applyNumberFormat="1" applyFill="1" applyBorder="1" applyProtection="1"/>
    <xf numFmtId="40" fontId="0" fillId="0" borderId="8" xfId="0" applyNumberFormat="1" applyBorder="1"/>
    <xf numFmtId="40" fontId="0" fillId="0" borderId="9" xfId="0" applyNumberFormat="1" applyBorder="1" applyProtection="1"/>
    <xf numFmtId="40" fontId="0" fillId="2" borderId="1" xfId="0" applyNumberFormat="1" applyFill="1" applyBorder="1" applyProtection="1">
      <protection locked="0"/>
    </xf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 applyProtection="1">
      <alignment horizontal="center"/>
      <protection locked="0"/>
    </xf>
    <xf numFmtId="40" fontId="0" fillId="3" borderId="0" xfId="0" applyNumberForma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BC198-32AD-47B8-B9D4-3D86041B7EF2}">
  <dimension ref="A1:V36"/>
  <sheetViews>
    <sheetView showZeros="0" tabSelected="1" view="pageLayout" zoomScale="90" zoomScaleNormal="100" zoomScalePageLayoutView="90" workbookViewId="0">
      <selection activeCell="B2" sqref="B2"/>
    </sheetView>
  </sheetViews>
  <sheetFormatPr defaultRowHeight="15" x14ac:dyDescent="0.25"/>
  <cols>
    <col min="1" max="1" width="34.28515625" style="1" customWidth="1"/>
    <col min="2" max="2" width="27.7109375" style="1" bestFit="1" customWidth="1"/>
    <col min="3" max="3" width="20.28515625" style="1" customWidth="1"/>
    <col min="4" max="4" width="18.140625" style="1" customWidth="1"/>
    <col min="5" max="5" width="16.85546875" style="1" customWidth="1"/>
    <col min="6" max="6" width="18.7109375" style="1" customWidth="1"/>
    <col min="7" max="7" width="21" style="1" customWidth="1"/>
    <col min="8" max="8" width="19.42578125" style="1" customWidth="1"/>
    <col min="9" max="9" width="13.140625" style="1" customWidth="1"/>
    <col min="10" max="22" width="9.140625" style="1"/>
  </cols>
  <sheetData>
    <row r="1" spans="1:8" ht="45" x14ac:dyDescent="0.25">
      <c r="A1" s="11" t="s">
        <v>0</v>
      </c>
      <c r="B1" s="23" t="s">
        <v>38</v>
      </c>
      <c r="C1" s="23" t="s">
        <v>37</v>
      </c>
      <c r="D1" s="23" t="s">
        <v>32</v>
      </c>
      <c r="E1" s="23" t="s">
        <v>33</v>
      </c>
      <c r="F1" s="23" t="s">
        <v>34</v>
      </c>
      <c r="G1" s="23" t="s">
        <v>35</v>
      </c>
      <c r="H1" s="23" t="s">
        <v>36</v>
      </c>
    </row>
    <row r="2" spans="1:8" x14ac:dyDescent="0.25">
      <c r="A2" s="5" t="s">
        <v>2</v>
      </c>
      <c r="B2" s="6"/>
      <c r="C2" s="4">
        <f>B2</f>
        <v>0</v>
      </c>
      <c r="D2" s="4">
        <f>IF(AND(C2&gt;B31,C2&lt;B32),C2*10%, )</f>
        <v>0</v>
      </c>
      <c r="E2" s="4">
        <f>IF(AND(C2&gt;=B32,C2&lt;B33),(C2-5000)*5%+500-D26, )</f>
        <v>0</v>
      </c>
      <c r="F2" s="4">
        <f>IF(AND(C2&gt;=B33,C2&lt;B34),(C2-9000)*4%+700-D26-E26, )</f>
        <v>0</v>
      </c>
      <c r="G2" s="4">
        <f>IF(AND(C2&gt;=B34,C2&lt;B35),(C2-12000)*1.5%+820-D26-E26-F26, )</f>
        <v>0</v>
      </c>
      <c r="H2" s="4">
        <f>IF(C2&gt;=B35,(C2-15000)*1%+865-D26-E26-F26-G26, )</f>
        <v>0</v>
      </c>
    </row>
    <row r="3" spans="1:8" x14ac:dyDescent="0.25">
      <c r="A3" s="7" t="s">
        <v>3</v>
      </c>
      <c r="B3" s="8"/>
      <c r="C3" s="9">
        <f>SUM(B2:B3)</f>
        <v>0</v>
      </c>
      <c r="D3" s="9">
        <f>IF(AND(C3&gt;B31,C3&lt;B32),C3*10%-D2, )</f>
        <v>0</v>
      </c>
      <c r="E3" s="9">
        <f>IF(AND(C3&gt;=B32,C3&lt;B33),(C3-5000)*5%+500-D26-E2, )</f>
        <v>0</v>
      </c>
      <c r="F3" s="9">
        <f>IF(AND(C3&gt;=B33,C3&lt;B34),(C3-9000)*4%+700-D26-E26-F2, )</f>
        <v>0</v>
      </c>
      <c r="G3" s="9">
        <f>IF(AND(C3&gt;=B34,C3&lt;B35),(C3-12000)*1.5%+820-D26-E26-F26-G2, )</f>
        <v>0</v>
      </c>
      <c r="H3" s="9">
        <f>IF(C3&gt;=B35,(C3-15000)*1%+865-D26-E26-F26-G26-H2, )</f>
        <v>0</v>
      </c>
    </row>
    <row r="4" spans="1:8" x14ac:dyDescent="0.25">
      <c r="A4" s="5" t="s">
        <v>4</v>
      </c>
      <c r="B4" s="6"/>
      <c r="C4" s="4">
        <f>SUM(B2:B4)</f>
        <v>0</v>
      </c>
      <c r="D4" s="4">
        <f>IF(AND(C4&gt;B31,C4&lt;B32),C4*10%-D3-D2, )</f>
        <v>0</v>
      </c>
      <c r="E4" s="4">
        <f>IF(AND(C4&gt;=B32,C4&lt;B33),(C4-5000)*5%+500-D26-E3-E2, )</f>
        <v>0</v>
      </c>
      <c r="F4" s="4">
        <f>IF(AND(C4&gt;=B33,C4&lt;B34),(C4-9000)*4%+700-D26-E26-F3-F2, )</f>
        <v>0</v>
      </c>
      <c r="G4" s="4">
        <f>IF(AND(C4&gt;=B34,C4&lt;B35),(C4-12000)*1.5%+820-D26-E26-F26-G3-G2, )</f>
        <v>0</v>
      </c>
      <c r="H4" s="4">
        <f>IF(C4&gt;=B35,(C4-15000)*1%+865-D26-E26-F26-G26-H3-H2, )</f>
        <v>0</v>
      </c>
    </row>
    <row r="5" spans="1:8" x14ac:dyDescent="0.25">
      <c r="A5" s="7" t="s">
        <v>5</v>
      </c>
      <c r="B5" s="8"/>
      <c r="C5" s="9">
        <f>SUM(B2:B5)</f>
        <v>0</v>
      </c>
      <c r="D5" s="9">
        <f>IF(AND(C5&gt;B31,C5&lt;B32),C5*10%-D4-D3-D2, )</f>
        <v>0</v>
      </c>
      <c r="E5" s="9">
        <f>IF(AND(C5&gt;=B32,C5&lt;B33),(C5-5000)*5%+500-D26-E4-E3-E2, )</f>
        <v>0</v>
      </c>
      <c r="F5" s="9">
        <f>IF(AND(C5&gt;=B33,C5&lt;B34),(C5-9000)*4%+700-D26-E26-F4-F3-F2, )</f>
        <v>0</v>
      </c>
      <c r="G5" s="9">
        <f>IF(AND(C5&gt;=B34,C5&lt;B35),(C5-12000)*1.5%+820-D26-E26-F26-G4-G3-G2, )</f>
        <v>0</v>
      </c>
      <c r="H5" s="9">
        <f>IF(C5&gt;=B35,(C5-15000)*1%+865-D26-E26-F26-G26-H4-H3-H2, )</f>
        <v>0</v>
      </c>
    </row>
    <row r="6" spans="1:8" x14ac:dyDescent="0.25">
      <c r="A6" s="5" t="s">
        <v>6</v>
      </c>
      <c r="B6" s="6"/>
      <c r="C6" s="4">
        <f>SUM(B2:B6)</f>
        <v>0</v>
      </c>
      <c r="D6" s="4">
        <f>IF(AND(C6&gt;B31,C6&lt;B32),C6*10%-D5-D4-D3-D2, )</f>
        <v>0</v>
      </c>
      <c r="E6" s="4">
        <f>IF(AND(C6&gt;=B32,C6&lt;B33),(C6-5000)*5%+500-D26-E5-E4-E3-E2, )</f>
        <v>0</v>
      </c>
      <c r="F6" s="4">
        <f>IF(AND(C6&gt;=B33,C6&lt;B34),(C6-9000)*4%+700-D26-E26-F5-F4-F3-F2, )</f>
        <v>0</v>
      </c>
      <c r="G6" s="4">
        <f>IF(AND(C6&gt;=B34,C6&lt;B35),(C6-12000)*1.5%+820-D26-E26-F26-G5-G4-G3-G2, )</f>
        <v>0</v>
      </c>
      <c r="H6" s="4">
        <f>IF(C6&gt;=B35,(C6-15000)*1%+865-D26-E26-F26-G26-H5-H4-H3-H2, )</f>
        <v>0</v>
      </c>
    </row>
    <row r="7" spans="1:8" x14ac:dyDescent="0.25">
      <c r="A7" s="7" t="s">
        <v>7</v>
      </c>
      <c r="B7" s="8"/>
      <c r="C7" s="9">
        <f>SUM(B2:B7)</f>
        <v>0</v>
      </c>
      <c r="D7" s="9">
        <f>IF(AND(C7&gt;B31,C7&lt;B32),C7*10%-D6-D5-D4-D3-D2, )</f>
        <v>0</v>
      </c>
      <c r="E7" s="9">
        <f>IF(AND(C7&gt;=B32,C7&lt;B33),(C7-5000)*5%+500-D26-E6-E5-E4-E3-E2, )</f>
        <v>0</v>
      </c>
      <c r="F7" s="9">
        <f>IF(AND(C7&gt;=B33,C7&lt;B34),(C7-9000)*4%+700-D26-E26-F6-F5-F4-F3-F2, )</f>
        <v>0</v>
      </c>
      <c r="G7" s="9">
        <f>IF(AND(C7&gt;=B34,C7&lt;B35),(C7-12000)*1.5%+820-D26-E26-F26-G6-G5-G4-G3-G2, )</f>
        <v>0</v>
      </c>
      <c r="H7" s="9">
        <f>IF(C7&gt;=B35,(C7-15000)*1%+865-D26-E26-F26-G26-H6-H5-H4-H3-H2, )</f>
        <v>0</v>
      </c>
    </row>
    <row r="8" spans="1:8" x14ac:dyDescent="0.25">
      <c r="A8" s="5" t="s">
        <v>8</v>
      </c>
      <c r="B8" s="6"/>
      <c r="C8" s="4">
        <f>SUM(B2:B8)</f>
        <v>0</v>
      </c>
      <c r="D8" s="4">
        <f>IF(AND(C8&gt;B31,C8&lt;B32),C8*10%-D7-D6-D5-D4-D3-D2, )</f>
        <v>0</v>
      </c>
      <c r="E8" s="4">
        <f>IF(AND(C8&gt;=B32,C8&lt;B33),(C8-5000)*5%+500-D26-E7-E6-E5-E4-E3-E2, )</f>
        <v>0</v>
      </c>
      <c r="F8" s="4">
        <f>IF(AND(C8&gt;=B33,C8&lt;B34),(C8-9000)*4%+700-D26-E26-F7-F6-F5-F4-F3-F2, )</f>
        <v>0</v>
      </c>
      <c r="G8" s="4">
        <f>IF(AND(C8&gt;=B34,C8&lt;B35),(C8-12000)*1.5%+820-D26-E26-F26-G7-G6-G5-G4-G3-G2, )</f>
        <v>0</v>
      </c>
      <c r="H8" s="4">
        <f>IF(C8&gt;=B35,(C8-15000)*1%+865-D26-E26-F26-G26-H7-H6-H5-H4-H3-H2, )</f>
        <v>0</v>
      </c>
    </row>
    <row r="9" spans="1:8" x14ac:dyDescent="0.25">
      <c r="A9" s="7" t="s">
        <v>9</v>
      </c>
      <c r="B9" s="8"/>
      <c r="C9" s="9">
        <f>SUM(B2:B9)</f>
        <v>0</v>
      </c>
      <c r="D9" s="9">
        <f>IF(AND(C9&gt;B31,C9&lt;B32),C9*10%-D8-D7-D6-D5-D4-D3-D2, )</f>
        <v>0</v>
      </c>
      <c r="E9" s="9">
        <f>IF(AND(C9&gt;=B32,C9&lt;B33),(C9-5000)*5%+500-D26-E8-E7-E6-E5-E4-E3-E2, )</f>
        <v>0</v>
      </c>
      <c r="F9" s="9">
        <f>IF(AND(C9&gt;=B33,C9&lt;B34),(C9-9000)*4%+700-D26-E26-F8-F7-F6-F5-F4-F3-F2, )</f>
        <v>0</v>
      </c>
      <c r="G9" s="9">
        <f>IF(AND(C9&gt;=B34,C9&lt;B35),(C9-12000)*1.5%+820-D26-E26-F26-G8-G7-G6-G5-G4-G3-G2, )</f>
        <v>0</v>
      </c>
      <c r="H9" s="9">
        <f>IF(C9&gt;=B35,(C9-15000)*1%+865-D26-E26-F26-G26-H8-H7-H6-H5-H4-H3-H2, )</f>
        <v>0</v>
      </c>
    </row>
    <row r="10" spans="1:8" x14ac:dyDescent="0.25">
      <c r="A10" s="5" t="s">
        <v>10</v>
      </c>
      <c r="B10" s="6"/>
      <c r="C10" s="4">
        <f>SUM(B2:B10)</f>
        <v>0</v>
      </c>
      <c r="D10" s="4">
        <f>IF(AND(C10&gt;B31,C10&lt;B32),C10*10%-D9-D8-D7-D6-D5-D4-D3-D2, )</f>
        <v>0</v>
      </c>
      <c r="E10" s="4">
        <f>IF(AND(C10&gt;=B32,C10&lt;B33),(C10-5000)*5%+500-D26-E9-E8-E7-E6-E5-E4-E3-E2, )</f>
        <v>0</v>
      </c>
      <c r="F10" s="4">
        <f>IF(AND(C10&gt;=B33,C10&lt;B34),(C10-9000)*4%+700-D26-E26-F9-F8-F7-F6-F5-F4-F3-F2, )</f>
        <v>0</v>
      </c>
      <c r="G10" s="4">
        <f>IF(AND(C10&gt;=B34,C10&lt;B35),(C10-12000)*1.5%+820-D26-E26-F26-G9-G8-G7-G6-G5-G4-G3-G2, )</f>
        <v>0</v>
      </c>
      <c r="H10" s="4">
        <f>IF(C10&gt;=B35,(C10-15000)*1%+865-D26-E26-F26-G26-H9-H8-H7-H6-H5-H4-H3-H2, )</f>
        <v>0</v>
      </c>
    </row>
    <row r="11" spans="1:8" x14ac:dyDescent="0.25">
      <c r="A11" s="7" t="s">
        <v>11</v>
      </c>
      <c r="B11" s="8"/>
      <c r="C11" s="9">
        <f>SUM(B2:B11)</f>
        <v>0</v>
      </c>
      <c r="D11" s="9">
        <f>IF(AND(C11&gt;B31,C11&lt;B32),C11*10%-D10-D9-D8-D7-D6-D5-D4-D3-D2, )</f>
        <v>0</v>
      </c>
      <c r="E11" s="9">
        <f>IF(AND(C11&gt;=B32,C11&lt;B33),(C11-5000)*5%+500-D26-E10-E9-E8-E7-E6-E5-E4-E3-E2, )</f>
        <v>0</v>
      </c>
      <c r="F11" s="9">
        <f>IF(AND(C11&gt;=B33,C11&lt;B34),(C11-9000)*4%+700-D26-E26-F10-F9-F8-F7-F6-F5-F4-F3-F2, )</f>
        <v>0</v>
      </c>
      <c r="G11" s="9">
        <f>IF(AND(C11&gt;=B34,C11&lt;B35),(C11-12000)*1.5%+820-D26-E26-F26-G10-G9-G8-G7-G6-G5-G4-G3-G2, )</f>
        <v>0</v>
      </c>
      <c r="H11" s="9">
        <f>IF(C11&gt;=B35,(C11-15000)*1%+865-D26-E26-F26-G26-H10-H9-H8-H7-H6-H5-H4-H3-H2, )</f>
        <v>0</v>
      </c>
    </row>
    <row r="12" spans="1:8" x14ac:dyDescent="0.25">
      <c r="A12" s="5" t="s">
        <v>12</v>
      </c>
      <c r="B12" s="6"/>
      <c r="C12" s="4">
        <f>SUM(B2:B12)</f>
        <v>0</v>
      </c>
      <c r="D12" s="4">
        <f>IF(AND(C12&gt;B31,C12&lt;B32),C12*10%-D11-D10-D9-D8-D7-D6-D5-D4-D3-D2, )</f>
        <v>0</v>
      </c>
      <c r="E12" s="4">
        <f>IF(AND(C12&gt;=B32,C12&lt;B33),(C12-5000)*5%+500-D26-E11-E10-E9-E8-E7-E6-E5-E4-E3-E2, )</f>
        <v>0</v>
      </c>
      <c r="F12" s="4">
        <f>IF(AND(C12&gt;=B33,C12&lt;B34),(C12-9000)*4%+700-D26-E26-F11-F10-F9-F8-F7-F6-F5-F4-F3-F2, )</f>
        <v>0</v>
      </c>
      <c r="G12" s="4">
        <f>IF(AND(C12&gt;=B34,C12&lt;B35),(C12-12000)*1.5%+820-D26-E26-F26-G11-G10-G9-G8-G7-G6-G5-G4-G3-G2, )</f>
        <v>0</v>
      </c>
      <c r="H12" s="4">
        <f>IF(C12&gt;=B35,(C12-15000)*1%+865-D26-E26-F26-G26-H11-H10-H9-H8-H7-H6-H5-H4-H3-H2, )</f>
        <v>0</v>
      </c>
    </row>
    <row r="13" spans="1:8" x14ac:dyDescent="0.25">
      <c r="A13" s="7" t="s">
        <v>13</v>
      </c>
      <c r="B13" s="8"/>
      <c r="C13" s="9">
        <f>SUM(B2:B13)</f>
        <v>0</v>
      </c>
      <c r="D13" s="9">
        <f>IF(AND(C13&gt;B31,C13&lt;B32),C13*10%-D12-D11-D10-D9-D8-D7-D6-D5-D4-D3-D2, )</f>
        <v>0</v>
      </c>
      <c r="E13" s="9">
        <f>IF(AND(C13&gt;=B32,C13&lt;B33),(C13-5000)*5%+500-D26-E12-E11-E10-E9-E8-E7-E6-E5-E4-E3-E2, )</f>
        <v>0</v>
      </c>
      <c r="F13" s="9">
        <f>IF(AND(C13&gt;=B33,C13&lt;B34),(C13-9000)*4%+700-D26-E26-F12-F11-F10-F9-F8-F7-F6-F5-F4-F3-F2, )</f>
        <v>0</v>
      </c>
      <c r="G13" s="9">
        <f>IF(AND(C13&gt;=B34,C13&lt;B35),(C13-12000)*1.5%+820-D26-E26-F26-G12-G11-G10-G9-G8-G7-G6-G5-G4-G3-G2, )</f>
        <v>0</v>
      </c>
      <c r="H13" s="9">
        <f>IF(C13&gt;=B35,(C13-15000)*1%+865-D26-E26-F26-G26-H12-H11-H10-H9-H8-H7-H6-H5-H4-H3-H2, )</f>
        <v>0</v>
      </c>
    </row>
    <row r="14" spans="1:8" x14ac:dyDescent="0.25">
      <c r="A14" s="5" t="s">
        <v>14</v>
      </c>
      <c r="B14" s="6"/>
      <c r="C14" s="4">
        <f>SUM(B2:B14)</f>
        <v>0</v>
      </c>
      <c r="D14" s="4">
        <f>IF(AND(C14&gt;B31,C14&lt;B32),C14*10%-D13-D12-D11-D10-D9-D8-D7-D6-D5-D4-D3-D2, )</f>
        <v>0</v>
      </c>
      <c r="E14" s="4">
        <f>IF(AND(C14&gt;=B32,C14&lt;B33),(C14-5000)*5%+500-D26-E13-E12-E11-E10-E9-E8-E7-E6-E5-E4-E3-E2, )</f>
        <v>0</v>
      </c>
      <c r="F14" s="4">
        <f>IF(AND(C14&gt;=B33,C14&lt;B34),(C14-9000)*4%+700-D26-E26-F13-F12-F11-F10-F9-F8-F7-F6-F5-F4-F3-F2, )</f>
        <v>0</v>
      </c>
      <c r="G14" s="4">
        <f>IF(AND(C14&gt;=B34,C14&lt;B35),(C14-12000)*1.5%+820-D26-E26-F26-G13-G12-G11-G10-G9-G8-G7-G6-G5-G4-G3-G2, )</f>
        <v>0</v>
      </c>
      <c r="H14" s="4">
        <f>IF(C14&gt;=B35,(C14-15000)*1%+865-D26-E26-F26-G26-H13-H12-H11-H10-H9-H8-H7-H6-H5-H4-H3-H2, )</f>
        <v>0</v>
      </c>
    </row>
    <row r="15" spans="1:8" x14ac:dyDescent="0.25">
      <c r="A15" s="7" t="s">
        <v>15</v>
      </c>
      <c r="B15" s="8"/>
      <c r="C15" s="9">
        <f>SUM(B2:B15)</f>
        <v>0</v>
      </c>
      <c r="D15" s="9">
        <f>IF(AND(C15&gt;B31,C15&lt;B32),C15*10%-D14-D13-D12-D11-D10-D9-D8-D7-D6-D5-D4-D3-D2, )</f>
        <v>0</v>
      </c>
      <c r="E15" s="9">
        <f>IF(AND(C15&gt;=B32,C15&lt;B33),(C15-5000)*5%+500-D26-E14-E13-E12-E11-E10-E9-E8-E7-E6-E5-E4-E3-E2, )</f>
        <v>0</v>
      </c>
      <c r="F15" s="9">
        <f>IF(AND(C15&gt;=B33,C15&lt;B34),(C15-9000)*4%+700-D26-E26-F14-F13-F12-F11-F10-F9-F8-F7-F6-F5-F4-F3-F2, )</f>
        <v>0</v>
      </c>
      <c r="G15" s="9">
        <f>IF(AND(C15&gt;=B34,C15&lt;B35),(C15-12000)*1.5%+820-D26-E26-F26-G14-G13-G12-G11-G10-G9-G8-G7-G6-G5-G4-G3-G2, )</f>
        <v>0</v>
      </c>
      <c r="H15" s="9">
        <f>IF(C15&gt;=B35,(C15-15000)*1%+865-D26-E26-F26-G26-H14-H13-H12-H11-H10-H9-H8-H7-H6-H5-H4-H3-H2, )</f>
        <v>0</v>
      </c>
    </row>
    <row r="16" spans="1:8" x14ac:dyDescent="0.25">
      <c r="A16" s="5" t="s">
        <v>16</v>
      </c>
      <c r="B16" s="6"/>
      <c r="C16" s="4">
        <f>SUM(B2:B16)</f>
        <v>0</v>
      </c>
      <c r="D16" s="4">
        <f>IF(AND(C16&gt;B31,C16&lt;B32),C16*10%-D15-D14-D13-D12-D11-D10-D9-D8-D7-D6-D5-D4-D3-D2, )</f>
        <v>0</v>
      </c>
      <c r="E16" s="4">
        <f>IF(AND(C16&gt;=B32,C16&lt;B33),(C16-5000)*5%+500-D26-E15-E14-E13-E12-E11-E10-E9-E8-E7-E6-E5-E4-E3-E2, )</f>
        <v>0</v>
      </c>
      <c r="F16" s="4">
        <f>IF(AND(C16&gt;=B33,C16&lt;B34),(C16-9000)*4%+700-D26-E26-F15-F14-F13-F12-F11-F10-F9-F8-F7-F6-F5-F4-F3-F2, )</f>
        <v>0</v>
      </c>
      <c r="G16" s="4">
        <f>IF(AND(C16&gt;=B34,C16&lt;B35),(C16-12000)*1.5%+820-D26-E26-F26-G15-G14-G13-G12-G11-G10-G9-G8-G7-G6-G5-G4-G3-G2, )</f>
        <v>0</v>
      </c>
      <c r="H16" s="4">
        <f>IF(C16&gt;=B35,(C16-15000)*1%+865-D26-E26-F26-G26-H15-H14-H13-H12-H11-H10-H9-H8-H7-H6-H5-H4-H3-H2, )</f>
        <v>0</v>
      </c>
    </row>
    <row r="17" spans="1:9" x14ac:dyDescent="0.25">
      <c r="A17" s="7" t="s">
        <v>17</v>
      </c>
      <c r="B17" s="8"/>
      <c r="C17" s="9">
        <f>SUM(B2:B17)</f>
        <v>0</v>
      </c>
      <c r="D17" s="9">
        <f>IF(AND(C17&gt;B31,C17&lt;B32),C17*10%-D16-D15-D14-D13-D12-D11-D10-D9-D8-D7-D6-D5-D4-D3-D2, )</f>
        <v>0</v>
      </c>
      <c r="E17" s="9">
        <f>IF(AND(C17&gt;=B32,C17&lt;B33),(C17-5000)*5%+500-D26-E16-E15-E14-E13-E12-E11-E10-E9-E8-E7-E6-E5-E4-E3-E2, )</f>
        <v>0</v>
      </c>
      <c r="F17" s="9">
        <f>IF(AND(C17&gt;=B33,C17&lt;B34),(C17-9000)*4%+700-D26-E26-F16-F15-F14-F13-F12-F11-F10-F9-F8-F7-F6-F5-F4-F3-F2, )</f>
        <v>0</v>
      </c>
      <c r="G17" s="9">
        <f>IF(AND(C17&gt;=B34,C17&lt;B35),(C17-12000)*1.5%+820-D26-E26-F26-G16-G15-G14-G13-G12-G11-G10-G9-G8-G7-G6-G5-G4-G3-G2, )</f>
        <v>0</v>
      </c>
      <c r="H17" s="9">
        <f>IF(C17&gt;=B35,(C17-15000)*1%+865-D26-E26-F26-G26-H16-H15-H14-H13-H12-H11-H10-H9-H8-H7-H6-H5-H4-H3-H2, )</f>
        <v>0</v>
      </c>
    </row>
    <row r="18" spans="1:9" x14ac:dyDescent="0.25">
      <c r="A18" s="5" t="s">
        <v>18</v>
      </c>
      <c r="B18" s="6"/>
      <c r="C18" s="4">
        <f>SUM(B2:B18)</f>
        <v>0</v>
      </c>
      <c r="D18" s="4">
        <f>IF(AND(C18&gt;B31,C18&lt;B32),C18*10%-D17-D16-D15-D14-D13-D12-D11-D10-D9-D8-D7-D6-D5-D4-D3-D2, )</f>
        <v>0</v>
      </c>
      <c r="E18" s="4">
        <f>IF(AND(C18&gt;=B32,C18&lt;B33),(C18-5000)*5%+500-D26-E17-E16-E15-E14-E13-E12-E11-E10-E9-E8-E7-E6-E5-E4-E3-E2, )</f>
        <v>0</v>
      </c>
      <c r="F18" s="4">
        <f>IF(AND(C18&gt;=B33,C18&lt;B34),(C18-9000)*4%+700-D26-E26-F17-F16-F15-F14-F13-F12-F11-F10-F9-F8-F7-F6-F5-F4-F3-F2, )</f>
        <v>0</v>
      </c>
      <c r="G18" s="4">
        <f>IF(AND(C18&gt;=B34,C18&lt;B35),(C18-12000)*1.5%+820-D26-E26-F26-G17-G16-G15-G14-G13-G12-G11-G10-G9-G8-G7-G6-G5-G4-G3-G2, )</f>
        <v>0</v>
      </c>
      <c r="H18" s="4">
        <f>IF(C18&gt;=B35,(C18-15000)*1%+865-D26-E26-F26-G26-H17-H16-H15-H14-H13-H12-H11-H10-H9-H8-H7-H6-H5-H4-H3-H2, )</f>
        <v>0</v>
      </c>
    </row>
    <row r="19" spans="1:9" x14ac:dyDescent="0.25">
      <c r="A19" s="7" t="s">
        <v>19</v>
      </c>
      <c r="B19" s="8"/>
      <c r="C19" s="9">
        <f>SUM(B2:B19)</f>
        <v>0</v>
      </c>
      <c r="D19" s="9">
        <f>IF(AND(C19&gt;B31,C19&lt;B32),C19*10%-D18-D17-D16-D15-D14-D13-D12-D11-D10-D9-D8-D7-D6-D5-D4-D3-D2, )</f>
        <v>0</v>
      </c>
      <c r="E19" s="9">
        <f>IF(AND(C19&gt;=B32,C19&lt;B33),(C19-5000)*5%+500-D26-E18-E17-E16-E15-E14-E13-E12-E11-E10-E9-E8-E7-E6-E5-E4-E3-E2, )</f>
        <v>0</v>
      </c>
      <c r="F19" s="9">
        <f>IF(AND(C19&gt;=B33,C19&lt;B34),(C19-9000)*4%+700-D26-E26-F18-F17-F16-F15-F14-F13-F12-F11-F10-F9-F8-F7-F6-F5-F4-F3-F2, )</f>
        <v>0</v>
      </c>
      <c r="G19" s="9">
        <f>IF(AND(C19&gt;=B34,C19&lt;B35),(C19-12000)*1.5%+820-D26-E26-F26-G18-G17-G16-G15-G14-G13-G12-G11-G10-G9-G8-G7-G6-G5-G4-G3-G2, )</f>
        <v>0</v>
      </c>
      <c r="H19" s="9">
        <f>IF(C19&gt;=B35,(C19-15000)*1%+865-D26-E26-F26-G26-H18-H17-H16-H15-H14-H13-H12-H11-H10-H9-H8-H7-H6-H5-H4-H3-H2, )</f>
        <v>0</v>
      </c>
    </row>
    <row r="20" spans="1:9" x14ac:dyDescent="0.25">
      <c r="A20" s="5" t="s">
        <v>20</v>
      </c>
      <c r="B20" s="6"/>
      <c r="C20" s="4">
        <f>SUM(B2:B20)</f>
        <v>0</v>
      </c>
      <c r="D20" s="4">
        <f>IF(AND(C20&gt;B31,C20&lt;B32),C20*10%-D19-D18-D17-D16-D15-D14-D13-D12-D11-D10-D9-D8-D7-D6-D5-D4-D3-D2, )</f>
        <v>0</v>
      </c>
      <c r="E20" s="4">
        <f>IF(AND(C20&gt;=B32,C20&lt;B33),(C20-5000)*5%+500-D26-E19-E18-E17-E16-E15-E14-E13-E12-E11-E10-E9-E8-E7-E6-E5-E4-E3-E2, )</f>
        <v>0</v>
      </c>
      <c r="F20" s="4">
        <f>IF(AND(C20&gt;=B33,C20&lt;B34),(C20-9000)*4%+700-D26-E26-F19-F18-F17-F16-F15-F14-F13-F12-F11-F10-F9-F8-F7-F6-F5-F4-F3-F2, )</f>
        <v>0</v>
      </c>
      <c r="G20" s="4">
        <f>IF(AND(C20&gt;=B34,C20&lt;B35),(C20-12000)*1.5%+820-D26-E26-F26-G19-G18-G17-G16-G15-G14-G13-G12-G11-G10-G9-G8-G7-G6-G5-G4-G3-G2, )</f>
        <v>0</v>
      </c>
      <c r="H20" s="4">
        <f>IF(C20&gt;=B35,(C20-15000)*1%+865-D26-E26-F26-G26-H19-H18-H17-H16-H15-H14-H13-H12-H11-H10-H9-H8-H7-H6-H5-H4-H3-H2, )</f>
        <v>0</v>
      </c>
    </row>
    <row r="21" spans="1:9" x14ac:dyDescent="0.25">
      <c r="A21" s="7" t="s">
        <v>21</v>
      </c>
      <c r="B21" s="8"/>
      <c r="C21" s="9">
        <f>SUM(B2:B21)</f>
        <v>0</v>
      </c>
      <c r="D21" s="9">
        <f>IF(AND(C21&gt;B31,C21&lt;B32),C21*10%-D20-D19-D18-D17-D16-D15-D14-D13-D12-D11-D10-D9-D8-D7-D6-D5-D4-D3-D2, )</f>
        <v>0</v>
      </c>
      <c r="E21" s="9">
        <f>IF(AND(C21&gt;=B32,C21&lt;B33),(C21-5000)*5%+500-D26-E20-E19-E18-E17-E16-E15-E14-E13-E12-E11-E10-E9-E8-E7-E6-E5-E4-E3-E2, )</f>
        <v>0</v>
      </c>
      <c r="F21" s="9">
        <f>IF(AND(C21&gt;=B33,C21&lt;B34),(C21-9000)*4%+700-D26-E26-F20-F19-F18-F17-F16-F15-F14-F13-F12-F11-F10-F9-F8-F7-F6-F5-F4-F3-F2, )</f>
        <v>0</v>
      </c>
      <c r="G21" s="9">
        <f>IF(AND(C21&gt;=B34,C21&lt;B35),(C21-12000)*1.5%+820-D26-E26-F26-G20-G19-G18-G17-G16-G15-G14-G13-G12-G11-G10-G9-G8-G7-G6-G5-G4-G3-G2, )</f>
        <v>0</v>
      </c>
      <c r="H21" s="9">
        <f>IF(C21&gt;=B35,(C21-15000)*1%+865-D26-E26-F26-G26-H20-H19-H18-H17-H16-H15-H14-H13-H12-H11-H10-H9-H8-H7-H6-H5-H4-H3-H2, )</f>
        <v>0</v>
      </c>
    </row>
    <row r="22" spans="1:9" x14ac:dyDescent="0.25">
      <c r="A22" s="5" t="s">
        <v>22</v>
      </c>
      <c r="B22" s="6"/>
      <c r="C22" s="4">
        <f>SUM(B2:B22)</f>
        <v>0</v>
      </c>
      <c r="D22" s="4">
        <f>IF(AND(C22&gt;B31,C22&lt;B32),C22*10%-D21-D20-D19-D18-D17-D16-D15-D14-D13-D12-D11-D10-D9-D8-D7-D6-D5-D4-D3-D2, )</f>
        <v>0</v>
      </c>
      <c r="E22" s="4">
        <f>IF(AND(C22&gt;=B32,C22&lt;B33),(C22-5000)*5%+500-D26-E21-E20-E19-E18-E17-E16-E15-E14-E13-E12-E11-E10-E9-E8-E7-E6-E5-E4-E3-E2, )</f>
        <v>0</v>
      </c>
      <c r="F22" s="4">
        <f>IF(AND(C22&gt;=B33,C22&lt;B34),(C22-9000)*4%+700-D26-E26-F21-F20-F19-F18-F17-F16-F15-F14-F13-F12-F11-F10-F9-F8-F7-F6-F5-F4-F3-F2, )</f>
        <v>0</v>
      </c>
      <c r="G22" s="4">
        <f>IF(AND(C22&gt;=B34,C22&lt;B35),(C22-12000)*1.5%+820-D26-E26-F26-G21-G20-G19-G18-G17-G16-G15-G14-G13-G12-G11-G10-G9-G8-G7-G6-G5-G4-G3-G2, )</f>
        <v>0</v>
      </c>
      <c r="H22" s="4">
        <f>IF(C22&gt;=B35,(C22-15000)*1%+865-D26-E26-F26-G26-H21-H20-H19-H18-H17-H16-H15-H14-H13-H12-H11-H10-H9-H8-H7-H6-H5-H4-H3-H2, )</f>
        <v>0</v>
      </c>
    </row>
    <row r="23" spans="1:9" x14ac:dyDescent="0.25">
      <c r="A23" s="7" t="s">
        <v>23</v>
      </c>
      <c r="B23" s="8"/>
      <c r="C23" s="9">
        <f>SUM(B2:B23)</f>
        <v>0</v>
      </c>
      <c r="D23" s="9">
        <f>IF(AND(C23&gt;B31,C23&lt;B32),C23*10%-D22-D21-D20-D19-D18-D17-D16-D15-D14-D13-D12-D11-D10-D9-D8-D7-D6-D5-D4-D3-D2, )</f>
        <v>0</v>
      </c>
      <c r="E23" s="9">
        <f>IF(AND(C23&gt;=B32,C23&lt;B33),(C23-5000)*5%+500-D26-E22-E21-E20-E19-E18-E17-E16-E15-E14-E13-E12-E11-E10-E9-E8-E7-E6-E5-E4-E3-E2, )</f>
        <v>0</v>
      </c>
      <c r="F23" s="9">
        <f>IF(AND(C23&gt;=B33,C23&lt;B34),(C23-9000)*4%+700-D26-E26-F22-F21-F20-F19-F18-F17-F16-F15-F14-F13-F12-F11-F10-F9-F8-F7-F6-F5-F4-F3-F2, )</f>
        <v>0</v>
      </c>
      <c r="G23" s="9">
        <f>IF(AND(C23&gt;=B34,C23&lt;B35),(C23-12000)*1.5%+820-D26-E26-F26-G22-G21-G20-G19-G18-G17-G16-G15-G14-G13-G12-G11-G10-G9-G8-G7-G6-G5-G4-G3-G2, )</f>
        <v>0</v>
      </c>
      <c r="H23" s="9">
        <f>IF(C23&gt;=B35,(C23-15000)*1%+865-D26-E26-F26-G26-H22-H21-H20-H19-H18-H17-H16-H15-H14-H13-H12-H11-H10-H9-H8-H7-H6-H5-H4-H3-H2, )</f>
        <v>0</v>
      </c>
    </row>
    <row r="24" spans="1:9" x14ac:dyDescent="0.25">
      <c r="A24" s="5" t="s">
        <v>24</v>
      </c>
      <c r="B24" s="6"/>
      <c r="C24" s="4">
        <f>SUM(B2:B24)</f>
        <v>0</v>
      </c>
      <c r="D24" s="4">
        <f>IF(AND(C24&gt;B31,C24&lt;B32),C24*10%-D23-D22-D21-D20-D19-D18-D17-D16-D15-D14-D13-D12-D11-D10-D9-D8-D7-D6-D5-D4-D3-D2, )</f>
        <v>0</v>
      </c>
      <c r="E24" s="4">
        <f>IF(AND(C24&gt;=B32,C24&lt;B33),(C24-5000)*5%+500-D26-E23-E22-E21-E20-E19-E18-E17-E16-E15-E14-E13-E12-E11-E10-E9-E8-E7-E6-E5-E4-E3-E2, )</f>
        <v>0</v>
      </c>
      <c r="F24" s="4">
        <f>IF(AND(C24&gt;=B33,C24&lt;B34),(C24-9000)*4%+700-D26-E26-F23-F22-F21-F20-F19-F18-F17-F16-F15-F14-F13-F12-F11-F10-F9-F8-F7-F6-F5-F4-F3-F2, )</f>
        <v>0</v>
      </c>
      <c r="G24" s="4">
        <f>IF(AND(C24&gt;=B34,C24&lt;B35),(C24-12000)*1.5%+820-D26-E26-F26-G23-G22-G21-G20-G19-G18-G17-G16-G15-G14-G13-G12-G11-G10-G9-G8-G7-G6-G5-G4-G3-G2, )</f>
        <v>0</v>
      </c>
      <c r="H24" s="4">
        <f>IF(C24&gt;=B35,(C24-15000)*1%+865-D26-E26-F26-G26-H23-H22-H21-H20-H19-H18-H17-H16-H15-H14-H13-H12-H11-H10-H9-H8-H7-H6-H5-H4-H3-H2, )</f>
        <v>0</v>
      </c>
    </row>
    <row r="25" spans="1:9" x14ac:dyDescent="0.25">
      <c r="A25" s="7" t="s">
        <v>25</v>
      </c>
      <c r="B25" s="20"/>
      <c r="C25" s="9">
        <f>SUM(B2:B25)</f>
        <v>0</v>
      </c>
      <c r="D25" s="10">
        <f>IF(AND(C25&gt;B31,C25&lt;B32),C25*10%-D24-D23-D22-D21-D20-D19-D18-D17-D16-D15-D14-D13-D12-D11-D10-D9-D8-D7-D6-D5-D4-D3-D2, )</f>
        <v>0</v>
      </c>
      <c r="E25" s="10">
        <f>IF(AND(C25&gt;=B32,C25&lt;B33),(C25-5000)*5%+500-D26-E24-E23-E22-E21-E20-E19-E18-E17-E16-E15-E14-E13-E12-E11-E10-E9-E8-E7-E6-E5-E4-E3-E2, )</f>
        <v>0</v>
      </c>
      <c r="F25" s="10">
        <f>IF(AND(C25&gt;=B33,C25&lt;B34),(C25-9000)*4%+700-D26-E26-F24-F23-F22-F21-F20-F19-F18-F17-F16-F15-F14-F13-F12-F11-F10-F9-F8-F7-F6-F5-F4-F3-F2, )</f>
        <v>0</v>
      </c>
      <c r="G25" s="10">
        <f>IF(AND(C25&gt;=B34,C25&lt;B35),(C25-12000)*1.5%+820-D26-E26-F26-G24-G23-G22-G21-G20-G19-G18-G17-G16-G15-G14-G13-G12-G11-G10-G9-G8-G7-G6-G5-G4-G3-G2, )</f>
        <v>0</v>
      </c>
      <c r="H25" s="10">
        <f>IF(C25&gt;=B35,(C25-15000)*1%+865-D26-E26-F26-G26-H24-H23-H22-H21-H20-H19-H18-H17-H16-H15-H14-H13-H12-H11-H10-H9-H8-H7-H6-H5-H4-H3-H2, )</f>
        <v>0</v>
      </c>
      <c r="I25" s="3"/>
    </row>
    <row r="26" spans="1:9" ht="15.75" thickBot="1" x14ac:dyDescent="0.3">
      <c r="A26" s="2"/>
      <c r="D26" s="1">
        <f>SUM(D2:D25)</f>
        <v>0</v>
      </c>
      <c r="E26" s="1">
        <f>SUM(E2:E25)</f>
        <v>0</v>
      </c>
      <c r="F26" s="1">
        <f>SUM(F2:F25)</f>
        <v>0</v>
      </c>
      <c r="G26" s="1">
        <f>SUM(G2:G25)</f>
        <v>0</v>
      </c>
      <c r="H26" s="1">
        <f>SUM(H2:H25)</f>
        <v>0</v>
      </c>
      <c r="I26" s="18">
        <f>SUM(D26:H26)</f>
        <v>0</v>
      </c>
    </row>
    <row r="27" spans="1:9" ht="16.5" thickTop="1" thickBot="1" x14ac:dyDescent="0.3">
      <c r="A27" s="5" t="s">
        <v>1</v>
      </c>
      <c r="B27" s="19">
        <f>SUM(B2:B26)</f>
        <v>0</v>
      </c>
    </row>
    <row r="28" spans="1:9" ht="15.75" thickTop="1" x14ac:dyDescent="0.25">
      <c r="A28" s="2"/>
    </row>
    <row r="29" spans="1:9" x14ac:dyDescent="0.25">
      <c r="A29" s="21" t="s">
        <v>31</v>
      </c>
      <c r="B29" s="22"/>
    </row>
    <row r="30" spans="1:9" ht="15.75" thickBot="1" x14ac:dyDescent="0.3">
      <c r="A30" s="2"/>
    </row>
    <row r="31" spans="1:9" x14ac:dyDescent="0.25">
      <c r="A31" s="12" t="s">
        <v>26</v>
      </c>
      <c r="B31" s="13">
        <v>0</v>
      </c>
    </row>
    <row r="32" spans="1:9" x14ac:dyDescent="0.25">
      <c r="A32" s="14" t="s">
        <v>27</v>
      </c>
      <c r="B32" s="15">
        <v>5000</v>
      </c>
    </row>
    <row r="33" spans="1:2" x14ac:dyDescent="0.25">
      <c r="A33" s="14" t="s">
        <v>28</v>
      </c>
      <c r="B33" s="15">
        <v>9000</v>
      </c>
    </row>
    <row r="34" spans="1:2" x14ac:dyDescent="0.25">
      <c r="A34" s="14" t="s">
        <v>29</v>
      </c>
      <c r="B34" s="15">
        <v>12000</v>
      </c>
    </row>
    <row r="35" spans="1:2" ht="15.75" thickBot="1" x14ac:dyDescent="0.3">
      <c r="A35" s="16" t="s">
        <v>30</v>
      </c>
      <c r="B35" s="17">
        <v>15000</v>
      </c>
    </row>
    <row r="36" spans="1:2" x14ac:dyDescent="0.25">
      <c r="A36" s="2"/>
    </row>
  </sheetData>
  <sheetProtection sheet="1" selectLockedCells="1"/>
  <pageMargins left="0.7" right="0.7" top="0.75" bottom="0.75" header="0.3" footer="0.3"/>
  <pageSetup paperSize="5" scale="84" orientation="landscape" r:id="rId1"/>
  <headerFooter>
    <oddHeader xml:space="preserve">&amp;CGeneral Fund Sliding Scale Calculator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 Fund Sliding Scale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Lentini, Chris</dc:creator>
  <cp:lastModifiedBy>Neese, Jenny</cp:lastModifiedBy>
  <cp:lastPrinted>2019-08-06T17:27:24Z</cp:lastPrinted>
  <dcterms:created xsi:type="dcterms:W3CDTF">2019-07-29T13:19:59Z</dcterms:created>
  <dcterms:modified xsi:type="dcterms:W3CDTF">2019-10-11T20:28:26Z</dcterms:modified>
</cp:coreProperties>
</file>